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<sst xmlns="http://schemas.openxmlformats.org/spreadsheetml/2006/main" count="128" uniqueCount="123">
  <si>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</si>
  <si>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</si>
  <si>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</si>
  <si>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</si>
  <si>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</si>
  <si>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</si>
  <si>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</si>
  <si>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</si>
  <si>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</si>
  <si>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</si>
  <si>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</si>
  <si>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</si>
  <si>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</si>
  <si>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</si>
  <si>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</si>
  <si>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</si>
  <si>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</si>
  <si>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</si>
  <si>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</si>
  <si>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</si>
  <si>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</si>
  <si>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</si>
  <si>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</si>
  <si>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</si>
  <si>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</si>
  <si>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</si>
  <si>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</si>
  <si>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</si>
  <si>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</si>
  <si>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</si>
  <si>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</si>
  <si>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</si>
  <si>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</si>
  <si>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</si>
  <si>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</si>
  <si>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</si>
  <si>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</si>
  <si>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</si>
  <si>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</si>
  <si>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</si>
  <si>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</si>
  <si>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</si>
  <si>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</si>
  <si>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</si>
  <si>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</si>
  <si>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</si>
  <si>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</si>
  <si>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</si>
  <si>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</si>
  <si>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</si>
  <si>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</si>
  <si>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</si>
  <si>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</si>
  <si>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</si>
  <si>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</si>
  <si>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</si>
  <si>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</si>
  <si>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</si>
  <si>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</si>
  <si>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</si>
  <si>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</si>
  <si>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</si>
  <si>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</si>
  <si>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</si>
  <si>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</si>
  <si>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</si>
  <si>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</si>
  <si>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</si>
  <si>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</si>
  <si>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</si>
  <si>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</si>
  <si>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</si>
  <si>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</si>
  <si>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</si>
  <si>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</si>
  <si>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</si>
  <si>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</si>
  <si>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</si>
  <si>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</si>
  <si>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</si>
  <si>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</si>
  <si>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</si>
  <si>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</si>
  <si>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</si>
  <si>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</si>
  <si>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</si>
  <si>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</si>
  <si>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</si>
  <si>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</si>
  <si>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</si>
  <si>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</si>
  <si>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</si>
  <si>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</si>
  <si>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</si>
  <si>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</si>
  <si>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</si>
  <si>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</si>
  <si>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</si>
  <si>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</si>
  <si>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</si>
  <si>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</si>
  <si>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</si>
  <si>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</si>
  <si>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</si>
  <si>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</si>
  <si>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</si>
  <si>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</si>
  <si>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</si>
  <si>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</si>
  <si>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</si>
  <si>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</si>
  <si>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</si>
  <si>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</si>
  <si>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</si>
  <si>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</si>
  <si>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</si>
  <si>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</si>
  <si>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</si>
  <si>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</si>
  <si>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</si>
  <si>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Відсоток виконання до плану 7 місяців</t>
  </si>
  <si>
    <t>Залишок призначень до плану 7 місяців</t>
  </si>
  <si>
    <t>Касові видатки станом на 26.07.18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</si>
</sst>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53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4" fontId="27" fillId="12" borderId="1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0" fillId="0" borderId="12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K16" sqref="AK16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28" width="0" style="2" hidden="1" customWidth="1"/>
    <col min="29" max="16384" width="9.33203125" style="2" customWidth="1"/>
  </cols>
  <sheetData>
    <row r="1" spans="4:7" ht="74.25" customHeight="1" hidden="1">
      <c r="D1" s="86" t="s">
        <v>14</v>
      </c>
      <c r="E1" s="87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91" t="s">
        <v>16</v>
      </c>
      <c r="B3" s="91"/>
      <c r="C3" s="91"/>
      <c r="D3" s="91"/>
      <c r="E3" s="91"/>
      <c r="F3" s="91"/>
      <c r="G3" s="91"/>
      <c r="H3" s="91"/>
      <c r="I3" s="91"/>
    </row>
    <row r="4" spans="1:9" ht="20.25" customHeight="1">
      <c r="A4" s="90" t="s">
        <v>15</v>
      </c>
      <c r="B4" s="90"/>
      <c r="C4" s="90"/>
      <c r="D4" s="90"/>
      <c r="E4" s="90"/>
      <c r="F4" s="90"/>
      <c r="G4" s="90"/>
      <c r="H4" s="90"/>
      <c r="I4" s="90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88" t="s">
        <v>3</v>
      </c>
      <c r="B7" s="13"/>
      <c r="C7" s="88" t="s">
        <v>0</v>
      </c>
      <c r="D7" s="89" t="s">
        <v>1</v>
      </c>
      <c r="E7" s="89" t="s">
        <v>19</v>
      </c>
      <c r="F7" s="89" t="s">
        <v>113</v>
      </c>
      <c r="G7" s="14" t="s">
        <v>114</v>
      </c>
      <c r="H7" s="92" t="s">
        <v>122</v>
      </c>
      <c r="I7" s="94" t="s">
        <v>2</v>
      </c>
      <c r="J7" s="85" t="s">
        <v>120</v>
      </c>
    </row>
    <row r="8" spans="1:25" ht="39.75" customHeight="1">
      <c r="A8" s="88"/>
      <c r="B8" s="1" t="s">
        <v>20</v>
      </c>
      <c r="C8" s="88"/>
      <c r="D8" s="89"/>
      <c r="E8" s="89"/>
      <c r="F8" s="89"/>
      <c r="G8" s="53" t="s">
        <v>115</v>
      </c>
      <c r="H8" s="93"/>
      <c r="I8" s="95"/>
      <c r="J8" s="103"/>
      <c r="L8" s="106" t="s">
        <v>121</v>
      </c>
      <c r="M8" s="94" t="s">
        <v>26</v>
      </c>
      <c r="N8" s="85" t="s">
        <v>27</v>
      </c>
      <c r="O8" s="94" t="s">
        <v>28</v>
      </c>
      <c r="P8" s="94" t="s">
        <v>29</v>
      </c>
      <c r="Q8" s="94" t="s">
        <v>30</v>
      </c>
      <c r="R8" s="94" t="s">
        <v>31</v>
      </c>
      <c r="S8" s="94" t="s">
        <v>32</v>
      </c>
      <c r="T8" s="94" t="s">
        <v>33</v>
      </c>
      <c r="U8" s="94" t="s">
        <v>34</v>
      </c>
      <c r="V8" s="94" t="s">
        <v>35</v>
      </c>
      <c r="W8" s="94" t="s">
        <v>36</v>
      </c>
      <c r="X8" s="94" t="s">
        <v>37</v>
      </c>
      <c r="Y8" s="94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107"/>
      <c r="M9" s="95"/>
      <c r="N9" s="103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1:25" s="15" customFormat="1" ht="19.5" customHeight="1">
      <c r="A10" s="104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54771723.400000006</v>
      </c>
      <c r="I11" s="38">
        <f aca="true" t="shared" si="0" ref="I11:I18">H11/D11*100</f>
        <v>50.693808338564885</v>
      </c>
      <c r="J11" s="38">
        <f>(H11/(M11+N11+O11+P11+Q11+R11+S11+O29+P29+Q29+R29+S29))*100</f>
        <v>89.59332299996974</v>
      </c>
      <c r="K11" s="41"/>
      <c r="L11" s="50">
        <f>M11+N11+O11+P11+Q11+R11+S11-H12</f>
        <v>1788025.1099999994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3487931.91</v>
      </c>
      <c r="P11" s="47">
        <f t="shared" si="1"/>
        <v>5855560.18</v>
      </c>
      <c r="Q11" s="47">
        <f t="shared" si="1"/>
        <v>5160973.51</v>
      </c>
      <c r="R11" s="47">
        <f t="shared" si="1"/>
        <v>5371484.15</v>
      </c>
      <c r="S11" s="47">
        <f t="shared" si="1"/>
        <v>7674593.79</v>
      </c>
      <c r="T11" s="47">
        <f t="shared" si="1"/>
        <v>2957821.1500000004</v>
      </c>
      <c r="U11" s="47">
        <f t="shared" si="1"/>
        <v>6251085.15</v>
      </c>
      <c r="V11" s="47">
        <f t="shared" si="1"/>
        <v>6547154.15</v>
      </c>
      <c r="W11" s="47">
        <f t="shared" si="1"/>
        <v>8404954.15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32945318.43</v>
      </c>
      <c r="I12" s="55">
        <f t="shared" si="0"/>
        <v>50.13547447446809</v>
      </c>
      <c r="J12" s="80">
        <f>(H12/(M11+N11+O11+P11+Q11+R11+S11))*100</f>
        <v>94.85213651274069</v>
      </c>
      <c r="L12" s="46">
        <f>(M12+N12+O12+P12+Q12+R12+S12)-(H13+H16+H17+H18)</f>
        <v>696923.4399999995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942800+3000000+400000+500000+1011000-2399000-1548819.36+2350000</f>
        <v>4255980.64</v>
      </c>
      <c r="T12" s="45">
        <f>942800+2750000+240000-23000-2350000</f>
        <v>1559800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532303+727873+1251296+858646+1446936+1569996+1187113+1502691.34+2083769</f>
        <v>11160623.34</v>
      </c>
      <c r="I13" s="17">
        <f t="shared" si="0"/>
        <v>60.65556163043478</v>
      </c>
      <c r="J13" s="99">
        <f>((H13+H16+H17+H18)/(M12+N12+O12+P12+Q12+R12+S12))*100</f>
        <v>95.69442504560581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31577.39+15917.61+121677.93+62675.88+102268.28+39092.55+52605.2+54734.36+188440.48+957995.29+82453.86+90143+306140.06</f>
        <v>2105721.89</v>
      </c>
      <c r="I16" s="17">
        <f t="shared" si="0"/>
        <v>35.13166755647503</v>
      </c>
      <c r="J16" s="100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</f>
        <v>2024976.27</v>
      </c>
      <c r="I17" s="17">
        <f t="shared" si="0"/>
        <v>53.706701481394056</v>
      </c>
      <c r="J17" s="10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2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17455705.87</v>
      </c>
      <c r="I21" s="33">
        <f>H21/D21*100</f>
        <v>46.787659767342696</v>
      </c>
      <c r="J21" s="99">
        <f>(H21/(M21+N21+O21+P21+Q21+R21+S21))*100</f>
        <v>94.11703783712203</v>
      </c>
      <c r="L21" s="51">
        <f>(M21+N21+O21+P21+Q21+R21+S21)-H21</f>
        <v>1091101.669999998</v>
      </c>
      <c r="M21" s="45">
        <v>3000000</v>
      </c>
      <c r="N21" s="45">
        <v>3000000</v>
      </c>
      <c r="O21" s="45">
        <f>2423724.91+11407</f>
        <v>2435131.91</v>
      </c>
      <c r="P21" s="45">
        <f>3024354.18-1000000</f>
        <v>2024354.1800000002</v>
      </c>
      <c r="Q21" s="45">
        <f>4124354.15-100000-2000000-500000+20000</f>
        <v>1544354.15</v>
      </c>
      <c r="R21" s="45">
        <f>4624354.15-2500000+1000000</f>
        <v>3124354.1500000004</v>
      </c>
      <c r="S21" s="45">
        <f>5124354.15-3000000+500000+326666-544000-257000+722086.65+546506.35</f>
        <v>3418613.1500000004</v>
      </c>
      <c r="T21" s="45">
        <f>5324354.15-3500000+616667+257000-722086.65-577913.35</f>
        <v>1398021.1500000004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3424354.15-1500000+3500000+544000</f>
        <v>5968354.15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</f>
        <v>7223622.140000001</v>
      </c>
      <c r="I22" s="21">
        <f aca="true" t="shared" si="5" ref="I22:I28">H22/D22*100</f>
        <v>57.868523191979705</v>
      </c>
      <c r="J22" s="100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100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100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</f>
        <v>407283.36</v>
      </c>
      <c r="I25" s="21">
        <f t="shared" si="5"/>
        <v>29.702487497170377</v>
      </c>
      <c r="J25" s="100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>
        <f>72895+67562</f>
        <v>140457</v>
      </c>
      <c r="I26" s="40">
        <f t="shared" si="5"/>
        <v>3.165784583745442</v>
      </c>
      <c r="J26" s="100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100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</f>
        <v>9684343.37</v>
      </c>
      <c r="I28" s="21">
        <f t="shared" si="5"/>
        <v>66.75373577648196</v>
      </c>
      <c r="J28" s="101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21826404.970000003</v>
      </c>
      <c r="I29" s="55">
        <f>H29/D29*100</f>
        <v>51.560526068027066</v>
      </c>
      <c r="J29" s="80">
        <f>(H29/(M29+N29+O29+P29+Q29+R29+S29))*100</f>
        <v>82.67462481288705</v>
      </c>
      <c r="L29" s="51">
        <f>(M29+N29+O29+P29+Q29+R29+S29)-H29</f>
        <v>4573962.759999994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8849489.729999999</v>
      </c>
      <c r="T29" s="74">
        <f t="shared" si="8"/>
        <v>4682097.55</v>
      </c>
      <c r="U29" s="74">
        <f t="shared" si="8"/>
        <v>6025865</v>
      </c>
      <c r="V29" s="74">
        <f t="shared" si="8"/>
        <v>3284039</v>
      </c>
      <c r="W29" s="74">
        <f t="shared" si="8"/>
        <v>1477753.37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0</v>
      </c>
    </row>
    <row r="30" spans="1:26" ht="18.75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26000+27000</f>
        <v>53000</v>
      </c>
      <c r="I30" s="17">
        <f aca="true" t="shared" si="10" ref="I30:I93">H30/D30*100</f>
        <v>35.333333333333336</v>
      </c>
      <c r="J30" s="52">
        <f>(H30/(M30+N30+O30+P30+Q30+R30+S30))*100</f>
        <v>100</v>
      </c>
      <c r="L30" s="46">
        <f>(M30+N30+O30+P30+Q30+R30+S30)-H30</f>
        <v>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.75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79">(H31/(M31+N31+O31+P31+Q31+R31+S31))*100</f>
        <v>100</v>
      </c>
      <c r="L31" s="46">
        <f aca="true" t="shared" si="12" ref="L31:L80">(M31+N31+O31+P31+Q31+R31+S31)-H31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75.50197209073065</v>
      </c>
      <c r="L32" s="46">
        <f t="shared" si="12"/>
        <v>176835.44999999995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83.33333333333334</v>
      </c>
      <c r="L34" s="46">
        <f t="shared" si="12"/>
        <v>100000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7.5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37.5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330316.47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</f>
        <v>329411.87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7.5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166000-166000</f>
        <v>0</v>
      </c>
      <c r="T38" s="70"/>
      <c r="U38" s="71">
        <f>166000</f>
        <v>166000</v>
      </c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.75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f>11000+145000</f>
        <v>156000</v>
      </c>
      <c r="I39" s="39">
        <f t="shared" si="10"/>
        <v>78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>
        <f>145000</f>
        <v>145000</v>
      </c>
      <c r="T39" s="70"/>
      <c r="U39" s="71">
        <f>85000+104000-145000</f>
        <v>44000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.75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28000+45000</f>
        <v>73000</v>
      </c>
      <c r="I40" s="17">
        <f t="shared" si="10"/>
        <v>36.5</v>
      </c>
      <c r="J40" s="52">
        <f t="shared" si="11"/>
        <v>100</v>
      </c>
      <c r="L40" s="46">
        <f t="shared" si="12"/>
        <v>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>
        <f>25000</f>
        <v>25000</v>
      </c>
      <c r="T40" s="70"/>
      <c r="U40" s="71">
        <f>85000+67000-25000</f>
        <v>127000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37.5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.75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f>15000+115000</f>
        <v>130000</v>
      </c>
      <c r="I42" s="39">
        <f t="shared" si="10"/>
        <v>65</v>
      </c>
      <c r="J42" s="52">
        <f t="shared" si="11"/>
        <v>100</v>
      </c>
      <c r="L42" s="46">
        <f t="shared" si="12"/>
        <v>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f>76000+15000</f>
        <v>91000</v>
      </c>
      <c r="T42" s="70"/>
      <c r="U42" s="71">
        <f>85000-15000</f>
        <v>70000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37.5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11.607142857142858</v>
      </c>
      <c r="L43" s="46">
        <f t="shared" si="12"/>
        <v>198000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.75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8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37.5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8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.75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126000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39000+106000-19000</f>
        <v>126000</v>
      </c>
      <c r="T46" s="70"/>
      <c r="U46" s="71">
        <f>19000</f>
        <v>19000</v>
      </c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37.5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37.5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100</v>
      </c>
      <c r="L48" s="46">
        <f t="shared" si="12"/>
        <v>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136000+20000-156000</f>
        <v>0</v>
      </c>
      <c r="T48" s="70">
        <f>300000-300000</f>
        <v>0</v>
      </c>
      <c r="U48" s="76"/>
      <c r="V48" s="76">
        <f>30000</f>
        <v>30000</v>
      </c>
      <c r="W48" s="71">
        <f>456000</f>
        <v>456000</v>
      </c>
      <c r="X48" s="71"/>
      <c r="Y48" s="46">
        <f t="shared" si="2"/>
        <v>900000</v>
      </c>
      <c r="Z48" s="49">
        <f t="shared" si="9"/>
        <v>0</v>
      </c>
    </row>
    <row r="49" spans="1:26" ht="18.75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>
        <f t="shared" si="11"/>
        <v>0</v>
      </c>
      <c r="L49" s="46">
        <f t="shared" si="12"/>
        <v>161000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37.5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283000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7.5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37.5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37.5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17000+160874</f>
        <v>177874</v>
      </c>
      <c r="I53" s="17">
        <f t="shared" si="10"/>
        <v>71.1496</v>
      </c>
      <c r="J53" s="52">
        <f t="shared" si="11"/>
        <v>96.1481081081081</v>
      </c>
      <c r="L53" s="46">
        <f t="shared" si="12"/>
        <v>7126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.75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663625.68+42451.48</f>
        <v>706077.16</v>
      </c>
      <c r="I54" s="17">
        <f t="shared" si="10"/>
        <v>77.96306323813899</v>
      </c>
      <c r="J54" s="52">
        <f t="shared" si="11"/>
        <v>98.2633448193321</v>
      </c>
      <c r="L54" s="46">
        <f t="shared" si="12"/>
        <v>12478.839999999967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132000+110000-187100</f>
        <v>54900</v>
      </c>
      <c r="T54" s="70">
        <f>187100</f>
        <v>187100</v>
      </c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7.5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 t="e">
        <f t="shared" si="11"/>
        <v>#DIV/0!</v>
      </c>
      <c r="L55" s="46">
        <f t="shared" si="12"/>
        <v>0</v>
      </c>
      <c r="M55" s="13"/>
      <c r="N55" s="13"/>
      <c r="O55" s="70"/>
      <c r="P55" s="70"/>
      <c r="Q55" s="70"/>
      <c r="R55" s="70">
        <f>300000-300000</f>
        <v>0</v>
      </c>
      <c r="S55" s="70">
        <f>300000-300000</f>
        <v>0</v>
      </c>
      <c r="T55" s="70">
        <v>300000</v>
      </c>
      <c r="U55" s="71"/>
      <c r="V55" s="71">
        <f>300000</f>
        <v>300000</v>
      </c>
      <c r="W55" s="71"/>
      <c r="X55" s="71"/>
      <c r="Y55" s="46">
        <f t="shared" si="2"/>
        <v>600000</v>
      </c>
      <c r="Z55" s="49">
        <f t="shared" si="9"/>
        <v>0</v>
      </c>
    </row>
    <row r="56" spans="1:26" ht="18.75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7.5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.75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99.99588706739527</v>
      </c>
      <c r="L58" s="46">
        <f t="shared" si="12"/>
        <v>11.289999999979045</v>
      </c>
      <c r="M58" s="13"/>
      <c r="N58" s="13"/>
      <c r="O58" s="70"/>
      <c r="P58" s="70"/>
      <c r="Q58" s="70">
        <f>274500</f>
        <v>274500</v>
      </c>
      <c r="R58" s="70"/>
      <c r="S58" s="70">
        <f>359000-274500-84500</f>
        <v>0</v>
      </c>
      <c r="T58" s="70"/>
      <c r="U58" s="71"/>
      <c r="V58" s="71">
        <f>84500</f>
        <v>84500</v>
      </c>
      <c r="W58" s="71"/>
      <c r="X58" s="71"/>
      <c r="Y58" s="46">
        <f t="shared" si="2"/>
        <v>359000</v>
      </c>
      <c r="Z58" s="49">
        <f t="shared" si="9"/>
        <v>0</v>
      </c>
    </row>
    <row r="59" spans="1:26" ht="18.75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52.30125523012552</v>
      </c>
      <c r="L59" s="46">
        <f t="shared" si="12"/>
        <v>228000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.75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 t="e">
        <f t="shared" si="11"/>
        <v>#DIV/0!</v>
      </c>
      <c r="L60" s="46">
        <f t="shared" si="12"/>
        <v>0</v>
      </c>
      <c r="M60" s="13"/>
      <c r="N60" s="13"/>
      <c r="O60" s="70"/>
      <c r="P60" s="70"/>
      <c r="Q60" s="70"/>
      <c r="R60" s="70">
        <f>800000-800000</f>
        <v>0</v>
      </c>
      <c r="S60" s="70">
        <f>800000-800000</f>
        <v>0</v>
      </c>
      <c r="T60" s="70">
        <f>177300</f>
        <v>177300</v>
      </c>
      <c r="U60" s="71">
        <f>710000+99200</f>
        <v>809200</v>
      </c>
      <c r="V60" s="71">
        <f>523500</f>
        <v>523500</v>
      </c>
      <c r="W60" s="71"/>
      <c r="X60" s="71"/>
      <c r="Y60" s="46">
        <f t="shared" si="2"/>
        <v>1510000</v>
      </c>
      <c r="Z60" s="49">
        <f t="shared" si="9"/>
        <v>0</v>
      </c>
    </row>
    <row r="61" spans="1:26" ht="18.75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99.96616920991114</v>
      </c>
      <c r="L61" s="46">
        <f t="shared" si="12"/>
        <v>1330</v>
      </c>
      <c r="M61" s="13"/>
      <c r="N61" s="13"/>
      <c r="O61" s="70"/>
      <c r="P61" s="76">
        <f>3930000-1414490.15-46100-239000-570000+56675.72</f>
        <v>1717085.57</v>
      </c>
      <c r="Q61" s="76">
        <f>1414490.15+24000-274500</f>
        <v>1163990.15</v>
      </c>
      <c r="R61" s="76">
        <f>38000+1011000</f>
        <v>1049000</v>
      </c>
      <c r="S61" s="76">
        <f>3949000+46100+155000+395000+274500+43324.28-1011000-2450670-1400000</f>
        <v>1254.2800000002608</v>
      </c>
      <c r="T61" s="76">
        <f>22000+476741+1400000</f>
        <v>1898741</v>
      </c>
      <c r="U61" s="76">
        <v>1973929</v>
      </c>
      <c r="V61" s="76">
        <v>175000</v>
      </c>
      <c r="W61" s="76"/>
      <c r="X61" s="71"/>
      <c r="Y61" s="46">
        <f t="shared" si="2"/>
        <v>7979000</v>
      </c>
      <c r="Z61" s="49">
        <f t="shared" si="9"/>
        <v>0</v>
      </c>
    </row>
    <row r="62" spans="1:26" ht="37.5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130000+3643250</f>
        <v>3773250</v>
      </c>
      <c r="I62" s="78">
        <f t="shared" si="10"/>
        <v>50.14926158676211</v>
      </c>
      <c r="J62" s="52">
        <f t="shared" si="11"/>
        <v>57.74789340597616</v>
      </c>
      <c r="L62" s="46">
        <f t="shared" si="12"/>
        <v>2760754.58</v>
      </c>
      <c r="M62" s="13"/>
      <c r="N62" s="13"/>
      <c r="O62" s="70"/>
      <c r="P62" s="84">
        <f>50000+80000+450000-450000</f>
        <v>130000</v>
      </c>
      <c r="Q62" s="84">
        <f>359000-359000</f>
        <v>0</v>
      </c>
      <c r="R62" s="84">
        <f>81004.58-81000</f>
        <v>4.580000000001746</v>
      </c>
      <c r="S62" s="84">
        <f>3500000-80000+350000+890000-950000+2694000</f>
        <v>6404000</v>
      </c>
      <c r="T62" s="84">
        <f>341800+950000-1291800</f>
        <v>0</v>
      </c>
      <c r="U62" s="84">
        <f>99200-99200</f>
        <v>0</v>
      </c>
      <c r="V62" s="84">
        <f>3474039-1500000-1303000</f>
        <v>671039</v>
      </c>
      <c r="W62" s="84"/>
      <c r="X62" s="84">
        <v>318995.42</v>
      </c>
      <c r="Y62" s="46">
        <f t="shared" si="2"/>
        <v>7524039</v>
      </c>
      <c r="Z62" s="49">
        <f t="shared" si="9"/>
        <v>0</v>
      </c>
    </row>
    <row r="63" spans="1:26" ht="18.75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.75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.75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>
        <f t="shared" si="11"/>
        <v>0</v>
      </c>
      <c r="L65" s="46">
        <f t="shared" si="12"/>
        <v>13.520000000004075</v>
      </c>
      <c r="M65" s="13"/>
      <c r="N65" s="13"/>
      <c r="O65" s="73"/>
      <c r="P65" s="73">
        <f>86813.52-86813.52</f>
        <v>0</v>
      </c>
      <c r="Q65" s="73"/>
      <c r="R65" s="73"/>
      <c r="S65" s="73">
        <f>86813.52-86800</f>
        <v>13.520000000004075</v>
      </c>
      <c r="T65" s="73">
        <f>86800</f>
        <v>86800</v>
      </c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.75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99.64444263447773</v>
      </c>
      <c r="L66" s="46">
        <f t="shared" si="12"/>
        <v>82.07000000000698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114582.07-23000-91500</f>
        <v>82.07000000000698</v>
      </c>
      <c r="T66" s="73">
        <f>91500</f>
        <v>91500</v>
      </c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.75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99.47205208356638</v>
      </c>
      <c r="L67" s="46">
        <f t="shared" si="12"/>
        <v>84.9200000000128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176384.92-16000-160300</f>
        <v>84.9200000000128</v>
      </c>
      <c r="T67" s="73">
        <f>160300</f>
        <v>160300</v>
      </c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.75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99.978837812663</v>
      </c>
      <c r="L68" s="46">
        <f t="shared" si="12"/>
        <v>7.619999999995343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376807.62-36000-340800</f>
        <v>7.619999999995343</v>
      </c>
      <c r="T68" s="73">
        <f>340800</f>
        <v>340800</v>
      </c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37.5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.75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891.0299999999988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f>115000-115000</f>
        <v>0</v>
      </c>
      <c r="T70" s="70"/>
      <c r="U70" s="71"/>
      <c r="V70" s="71">
        <f>115000</f>
        <v>115000</v>
      </c>
      <c r="W70" s="71"/>
      <c r="X70" s="71"/>
      <c r="Y70" s="46">
        <f t="shared" si="2"/>
        <v>115891.03</v>
      </c>
      <c r="Z70" s="49">
        <f t="shared" si="9"/>
        <v>0</v>
      </c>
    </row>
    <row r="71" spans="1:26" ht="18.75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286000+50433.63+4759.51</f>
        <v>341193.14</v>
      </c>
      <c r="I71" s="17">
        <f t="shared" si="10"/>
        <v>57.89224519650562</v>
      </c>
      <c r="J71" s="52">
        <f t="shared" si="11"/>
        <v>99.95142064085793</v>
      </c>
      <c r="L71" s="46">
        <f t="shared" si="12"/>
        <v>165.8299999999581</v>
      </c>
      <c r="M71" s="13"/>
      <c r="N71" s="13"/>
      <c r="O71" s="76">
        <f>286000-286000</f>
        <v>0</v>
      </c>
      <c r="P71" s="76">
        <f>298108.97+5250-17000</f>
        <v>286358.97</v>
      </c>
      <c r="Q71" s="70"/>
      <c r="R71" s="70"/>
      <c r="S71" s="70">
        <f>303000-248000</f>
        <v>55000</v>
      </c>
      <c r="T71" s="70">
        <f>248000</f>
        <v>248000</v>
      </c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.75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 t="e">
        <f t="shared" si="11"/>
        <v>#DIV/0!</v>
      </c>
      <c r="L72" s="46">
        <f t="shared" si="12"/>
        <v>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110000+170000-280000</f>
        <v>0</v>
      </c>
      <c r="T72" s="70"/>
      <c r="U72" s="71"/>
      <c r="V72" s="71">
        <f>120000+280000</f>
        <v>400000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7.5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6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7.5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6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.75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8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.75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.75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8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.75">
      <c r="A78" s="26"/>
      <c r="B78" s="27"/>
      <c r="C78" s="56" t="s">
        <v>119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8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37.5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8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.75">
      <c r="A80" s="96" t="s">
        <v>89</v>
      </c>
      <c r="B80" s="97"/>
      <c r="C80" s="97"/>
      <c r="D80" s="97"/>
      <c r="E80" s="97"/>
      <c r="F80" s="97"/>
      <c r="G80" s="98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37.5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48072730.28</v>
      </c>
      <c r="I81" s="8">
        <f t="shared" si="10"/>
        <v>37.08838558378944</v>
      </c>
      <c r="J81" s="8">
        <f>(H81/(M81+N81+O81+P81+Q81+R81+S81))*100</f>
        <v>76.70146291434223</v>
      </c>
      <c r="L81" s="51">
        <f>(M81+N81+O81+P81+Q81+R81+S81)-H81</f>
        <v>14602384.969999999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.75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>
        <f>460335.6+49987.85-2810.4-15095.45</f>
        <v>492417.5999999999</v>
      </c>
      <c r="I82" s="17">
        <f t="shared" si="10"/>
        <v>61.55219999999999</v>
      </c>
      <c r="J82" s="52">
        <f>(H82/(M82+N82+O82+P82+Q82+R82+S82))*100</f>
        <v>61.55219999999999</v>
      </c>
      <c r="L82" s="46">
        <f>(M82+N82+O82+P82+Q82+R82+S82)-H82</f>
        <v>307582.4000000001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24" customHeight="1">
      <c r="A83" s="63"/>
      <c r="B83" s="18"/>
      <c r="C83" s="83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>
        <f>87741.39</f>
        <v>87741.39</v>
      </c>
      <c r="I83" s="17">
        <f t="shared" si="10"/>
        <v>2.924713</v>
      </c>
      <c r="J83" s="82">
        <f>(H83/(M83+N83+O83+P83+Q83+R83+S83))*100</f>
        <v>87.74139</v>
      </c>
      <c r="L83" s="46">
        <f aca="true" t="shared" si="17" ref="L83:L107">(M83+N83+O83+P83+Q83+R83+S83)-H83</f>
        <v>12258.61</v>
      </c>
      <c r="M83" s="67"/>
      <c r="N83" s="67"/>
      <c r="O83" s="67"/>
      <c r="P83" s="67"/>
      <c r="Q83" s="67"/>
      <c r="R83" s="67"/>
      <c r="S83" s="67">
        <f>100000</f>
        <v>100000</v>
      </c>
      <c r="T83" s="67"/>
      <c r="U83" s="67"/>
      <c r="V83" s="77">
        <f>1000000-100000</f>
        <v>900000</v>
      </c>
      <c r="W83" s="77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.75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2500000+924670.32+19613.05+4000000+2000000+1200000+10900000+242404.98</f>
        <v>21786688.349999998</v>
      </c>
      <c r="I84" s="17">
        <f t="shared" si="10"/>
        <v>99.03040159090908</v>
      </c>
      <c r="J84" s="52">
        <f>(H84/(M84+N84+O84+P84+Q84+R84+S84))*100</f>
        <v>99.03040159090908</v>
      </c>
      <c r="L84" s="46">
        <f t="shared" si="17"/>
        <v>213311.65000000224</v>
      </c>
      <c r="M84" s="67"/>
      <c r="N84" s="67"/>
      <c r="O84" s="67"/>
      <c r="P84" s="77">
        <f>3437500+4100000</f>
        <v>7537500</v>
      </c>
      <c r="Q84" s="77">
        <f>3437500-2000000+4513387.6</f>
        <v>5950887.6</v>
      </c>
      <c r="R84" s="77">
        <f>90000+5000000+800000+2521612.4</f>
        <v>8411612.4</v>
      </c>
      <c r="S84" s="77">
        <f>5000000-800000-4100000</f>
        <v>100000</v>
      </c>
      <c r="T84" s="77">
        <f>5000000-5000000</f>
        <v>0</v>
      </c>
      <c r="U84" s="77">
        <f>35000-35000</f>
        <v>0</v>
      </c>
      <c r="V84" s="77"/>
      <c r="W84" s="77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.75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>
        <f>27575</f>
        <v>27575</v>
      </c>
      <c r="I85" s="17">
        <f t="shared" si="10"/>
        <v>2.0733082706766917</v>
      </c>
      <c r="J85" s="52">
        <f aca="true" t="shared" si="18" ref="J85:J107">(H85/(M85+N85+O85+P85+Q85+R85+S85))*100</f>
        <v>2.0733082706766917</v>
      </c>
      <c r="L85" s="46">
        <f t="shared" si="17"/>
        <v>1302425</v>
      </c>
      <c r="M85" s="67"/>
      <c r="N85" s="67"/>
      <c r="O85" s="67"/>
      <c r="P85" s="77">
        <v>650000</v>
      </c>
      <c r="Q85" s="77">
        <v>130000</v>
      </c>
      <c r="R85" s="77">
        <f>260000+30000</f>
        <v>290000</v>
      </c>
      <c r="S85" s="77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.75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8"/>
        <v>0</v>
      </c>
      <c r="L86" s="46">
        <f t="shared" si="17"/>
        <v>3100000</v>
      </c>
      <c r="M86" s="67"/>
      <c r="N86" s="67"/>
      <c r="O86" s="67"/>
      <c r="P86" s="67"/>
      <c r="Q86" s="67"/>
      <c r="R86" s="77">
        <f>600000+600000-800000</f>
        <v>400000</v>
      </c>
      <c r="S86" s="77">
        <f>6000000+800000-4000000-100000</f>
        <v>2700000</v>
      </c>
      <c r="T86" s="77">
        <f>6000000+4000000</f>
        <v>10000000</v>
      </c>
      <c r="U86" s="77">
        <f>2400000</f>
        <v>2400000</v>
      </c>
      <c r="V86" s="67">
        <f>100000</f>
        <v>100000</v>
      </c>
      <c r="W86" s="67"/>
      <c r="X86" s="67"/>
      <c r="Y86" s="46">
        <f t="shared" si="13"/>
        <v>15600000</v>
      </c>
      <c r="Z86" s="49">
        <f t="shared" si="9"/>
        <v>0</v>
      </c>
    </row>
    <row r="87" spans="1:26" ht="18.75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8"/>
        <v>0</v>
      </c>
      <c r="L87" s="46">
        <f t="shared" si="17"/>
        <v>490000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.75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5291+11445</f>
        <v>16736</v>
      </c>
      <c r="I88" s="17">
        <f t="shared" si="10"/>
        <v>5.578666666666667</v>
      </c>
      <c r="J88" s="52">
        <f t="shared" si="18"/>
        <v>21.45641025641026</v>
      </c>
      <c r="L88" s="46">
        <f t="shared" si="17"/>
        <v>61264</v>
      </c>
      <c r="M88" s="67"/>
      <c r="N88" s="67"/>
      <c r="O88" s="67"/>
      <c r="P88" s="67"/>
      <c r="Q88" s="67"/>
      <c r="R88" s="67">
        <f>10000</f>
        <v>10000</v>
      </c>
      <c r="S88" s="67">
        <f>68000</f>
        <v>68000</v>
      </c>
      <c r="T88" s="67"/>
      <c r="U88" s="67">
        <f>200000-10000-68000</f>
        <v>122000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37.5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8"/>
        <v>98.16172661634394</v>
      </c>
      <c r="L89" s="46">
        <f t="shared" si="17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37.5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82" t="e">
        <f t="shared" si="18"/>
        <v>#DIV/0!</v>
      </c>
      <c r="L90" s="46">
        <f t="shared" si="17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.75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7000000+3000000+112682.22-2000000+4000000</f>
        <v>12112682.22</v>
      </c>
      <c r="I91" s="17">
        <f t="shared" si="10"/>
        <v>42.32095646682962</v>
      </c>
      <c r="J91" s="52">
        <f t="shared" si="18"/>
        <v>82.96357684931507</v>
      </c>
      <c r="L91" s="46">
        <f t="shared" si="17"/>
        <v>2487317.7799999993</v>
      </c>
      <c r="M91" s="67"/>
      <c r="N91" s="67"/>
      <c r="O91" s="76">
        <v>4200000</v>
      </c>
      <c r="P91" s="76">
        <f>8000000-2200000</f>
        <v>5800000</v>
      </c>
      <c r="Q91" s="76">
        <f>7100000-5000000-2100000</f>
        <v>0</v>
      </c>
      <c r="R91" s="76">
        <f>5100000-4000000-1100000</f>
        <v>0</v>
      </c>
      <c r="S91" s="76">
        <f>5200000-5000000+400000+4000000</f>
        <v>4600000</v>
      </c>
      <c r="T91" s="76">
        <f>5080000-5000000+5000000-4000000</f>
        <v>1080000</v>
      </c>
      <c r="U91" s="76">
        <v>5130000</v>
      </c>
      <c r="V91" s="76"/>
      <c r="W91" s="76">
        <f>5000000-3668958.4</f>
        <v>1331041.6</v>
      </c>
      <c r="X91" s="76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.75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82" t="e">
        <f t="shared" si="18"/>
        <v>#DIV/0!</v>
      </c>
      <c r="L92" s="46">
        <f t="shared" si="17"/>
        <v>0</v>
      </c>
      <c r="M92" s="67"/>
      <c r="N92" s="67"/>
      <c r="O92" s="67"/>
      <c r="P92" s="67"/>
      <c r="Q92" s="67"/>
      <c r="R92" s="67"/>
      <c r="S92" s="67"/>
      <c r="T92" s="67"/>
      <c r="U92" s="76">
        <v>400000</v>
      </c>
      <c r="V92" s="76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.75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>
        <f t="shared" si="18"/>
        <v>0</v>
      </c>
      <c r="L93" s="46">
        <f t="shared" si="17"/>
        <v>41050</v>
      </c>
      <c r="M93" s="67"/>
      <c r="N93" s="67"/>
      <c r="O93" s="67"/>
      <c r="P93" s="67"/>
      <c r="Q93" s="67">
        <f>150000-150000</f>
        <v>0</v>
      </c>
      <c r="R93" s="67"/>
      <c r="S93" s="67">
        <f>109050-68000</f>
        <v>41050</v>
      </c>
      <c r="T93" s="67"/>
      <c r="U93" s="67">
        <f>35000+68000</f>
        <v>103000</v>
      </c>
      <c r="V93" s="67"/>
      <c r="W93" s="67">
        <f>5950</f>
        <v>5950</v>
      </c>
      <c r="X93" s="67"/>
      <c r="Y93" s="46">
        <f t="shared" si="13"/>
        <v>150000</v>
      </c>
      <c r="Z93" s="49">
        <f aca="true" t="shared" si="19" ref="Z93:Z107">Y93-D93</f>
        <v>0</v>
      </c>
    </row>
    <row r="94" spans="1:26" ht="18.75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aca="true" t="shared" si="20" ref="I94:I108">H94/D94*100</f>
        <v>0</v>
      </c>
      <c r="J94" s="52">
        <f t="shared" si="18"/>
        <v>0</v>
      </c>
      <c r="L94" s="46">
        <f t="shared" si="17"/>
        <v>460000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t="shared" si="19"/>
        <v>0</v>
      </c>
    </row>
    <row r="95" spans="1:26" ht="18.75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20"/>
        <v>49.32814285714285</v>
      </c>
      <c r="J95" s="52">
        <f t="shared" si="18"/>
        <v>49.32814285714285</v>
      </c>
      <c r="L95" s="46">
        <f t="shared" si="17"/>
        <v>283762.4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9"/>
        <v>0</v>
      </c>
    </row>
    <row r="96" spans="1:26" ht="18.75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20"/>
        <v>0</v>
      </c>
      <c r="J96" s="52">
        <f t="shared" si="18"/>
        <v>0</v>
      </c>
      <c r="L96" s="46">
        <f t="shared" si="17"/>
        <v>300000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9"/>
        <v>0</v>
      </c>
    </row>
    <row r="97" spans="1:26" ht="18.75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t="shared" si="20"/>
        <v>62.544774999999994</v>
      </c>
      <c r="J97" s="52">
        <f t="shared" si="18"/>
        <v>76.81274178692048</v>
      </c>
      <c r="L97" s="46">
        <f t="shared" si="17"/>
        <v>1510418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200000+1750000-486000</f>
        <v>1464000</v>
      </c>
      <c r="T97" s="67"/>
      <c r="U97" s="67"/>
      <c r="V97" s="67">
        <f>1000000+486000</f>
        <v>1486000</v>
      </c>
      <c r="W97" s="67"/>
      <c r="X97" s="67"/>
      <c r="Y97" s="46">
        <f t="shared" si="13"/>
        <v>8000000</v>
      </c>
      <c r="Z97" s="49">
        <f t="shared" si="19"/>
        <v>0</v>
      </c>
    </row>
    <row r="98" spans="1:26" ht="37.5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8"/>
        <v>46.75957300381352</v>
      </c>
      <c r="L98" s="46">
        <f t="shared" si="17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9"/>
        <v>0</v>
      </c>
    </row>
    <row r="99" spans="1:26" ht="37.5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8"/>
        <v>#DIV/0!</v>
      </c>
      <c r="L99" s="46">
        <f t="shared" si="17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9"/>
        <v>0</v>
      </c>
    </row>
    <row r="100" spans="1:26" ht="37.5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8"/>
        <v>0</v>
      </c>
      <c r="L100" s="46">
        <f t="shared" si="17"/>
        <v>786885.2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9"/>
        <v>0</v>
      </c>
    </row>
    <row r="101" spans="1:26" ht="37.5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8"/>
        <v>0</v>
      </c>
      <c r="L101" s="46">
        <f t="shared" si="17"/>
        <v>676676.89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9"/>
        <v>0</v>
      </c>
    </row>
    <row r="102" spans="1:26" ht="37.5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8"/>
        <v>91.95553846153847</v>
      </c>
      <c r="L102" s="46">
        <f t="shared" si="17"/>
        <v>52289</v>
      </c>
      <c r="M102" s="67"/>
      <c r="N102" s="67"/>
      <c r="O102" s="67"/>
      <c r="P102" s="67">
        <f>1186087-586087</f>
        <v>600000</v>
      </c>
      <c r="Q102" s="67">
        <f>429100-429100</f>
        <v>0</v>
      </c>
      <c r="R102" s="67">
        <f>796987.8-500000-284813</f>
        <v>12174.800000000047</v>
      </c>
      <c r="S102" s="67">
        <v>37825.2</v>
      </c>
      <c r="T102" s="67"/>
      <c r="U102" s="67"/>
      <c r="V102" s="67">
        <f>1300000</f>
        <v>1300000</v>
      </c>
      <c r="W102" s="67"/>
      <c r="X102" s="67">
        <v>500000</v>
      </c>
      <c r="Y102" s="46">
        <f t="shared" si="13"/>
        <v>2450000</v>
      </c>
      <c r="Z102" s="49">
        <f t="shared" si="19"/>
        <v>0</v>
      </c>
    </row>
    <row r="103" spans="1:26" ht="37.5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33264+9234+1620974.51+23480.87+1785858</f>
        <v>3472811.38</v>
      </c>
      <c r="I103" s="17">
        <f t="shared" si="20"/>
        <v>35.31433170632499</v>
      </c>
      <c r="J103" s="52">
        <f t="shared" si="18"/>
        <v>99.62166896156053</v>
      </c>
      <c r="L103" s="46">
        <f t="shared" si="17"/>
        <v>13188.620000000112</v>
      </c>
      <c r="M103" s="67"/>
      <c r="N103" s="67"/>
      <c r="O103" s="67"/>
      <c r="P103" s="67">
        <f>2400000-1000000+586087</f>
        <v>1986087</v>
      </c>
      <c r="Q103" s="67">
        <f>1000000-800000+100000+429100</f>
        <v>729100</v>
      </c>
      <c r="R103" s="67">
        <f>284813</f>
        <v>284813</v>
      </c>
      <c r="S103" s="67">
        <f>486000</f>
        <v>486000</v>
      </c>
      <c r="T103" s="67">
        <v>3000000</v>
      </c>
      <c r="U103" s="67"/>
      <c r="V103" s="67">
        <f>1434000+1000000-100000-1786000</f>
        <v>548000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9"/>
        <v>0</v>
      </c>
    </row>
    <row r="104" spans="1:26" ht="37.5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8"/>
        <v>5.063430420711974</v>
      </c>
      <c r="L104" s="46">
        <f t="shared" si="17"/>
        <v>293354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9"/>
        <v>0</v>
      </c>
    </row>
    <row r="105" spans="1:26" ht="37.5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8"/>
        <v>39.16192357142857</v>
      </c>
      <c r="L105" s="46">
        <f t="shared" si="17"/>
        <v>851733.0700000001</v>
      </c>
      <c r="M105" s="67"/>
      <c r="N105" s="67"/>
      <c r="O105" s="67"/>
      <c r="P105" s="76">
        <f>2000000-1000000-450000</f>
        <v>550000</v>
      </c>
      <c r="Q105" s="76">
        <f>1900000-1500000-400000</f>
        <v>0</v>
      </c>
      <c r="R105" s="76"/>
      <c r="S105" s="76">
        <f>850000</f>
        <v>850000</v>
      </c>
      <c r="T105" s="76"/>
      <c r="U105" s="76"/>
      <c r="V105" s="76">
        <f>1000000-1000000</f>
        <v>0</v>
      </c>
      <c r="W105" s="76">
        <f>1133744+1500000-2000000</f>
        <v>633744</v>
      </c>
      <c r="X105" s="76">
        <v>1000000</v>
      </c>
      <c r="Y105" s="46">
        <f t="shared" si="13"/>
        <v>3033744</v>
      </c>
      <c r="Z105" s="49">
        <f t="shared" si="19"/>
        <v>0</v>
      </c>
    </row>
    <row r="106" spans="1:26" ht="37.5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8"/>
        <v>0</v>
      </c>
      <c r="L106" s="46">
        <f t="shared" si="17"/>
        <v>200000</v>
      </c>
      <c r="M106" s="67"/>
      <c r="N106" s="67"/>
      <c r="O106" s="67"/>
      <c r="P106" s="76">
        <v>70000</v>
      </c>
      <c r="Q106" s="76">
        <v>30000</v>
      </c>
      <c r="R106" s="76"/>
      <c r="S106" s="76">
        <f>100000</f>
        <v>100000</v>
      </c>
      <c r="T106" s="76">
        <f>600000</f>
        <v>600000</v>
      </c>
      <c r="U106" s="76">
        <f>600000</f>
        <v>600000</v>
      </c>
      <c r="V106" s="76">
        <f>4000000</f>
        <v>4000000</v>
      </c>
      <c r="W106" s="76">
        <f>4300000</f>
        <v>4300000</v>
      </c>
      <c r="X106" s="76">
        <v>400000</v>
      </c>
      <c r="Y106" s="46">
        <f t="shared" si="13"/>
        <v>10100000</v>
      </c>
      <c r="Z106" s="49">
        <f t="shared" si="19"/>
        <v>0</v>
      </c>
    </row>
    <row r="107" spans="1:26" ht="18.75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8"/>
        <v>0</v>
      </c>
      <c r="L107" s="46">
        <f t="shared" si="17"/>
        <v>370000</v>
      </c>
      <c r="M107" s="67"/>
      <c r="N107" s="67"/>
      <c r="O107" s="67"/>
      <c r="P107" s="77"/>
      <c r="Q107" s="77"/>
      <c r="R107" s="77">
        <f>900000-800000-30000</f>
        <v>70000</v>
      </c>
      <c r="S107" s="77">
        <f>400000-100000</f>
        <v>300000</v>
      </c>
      <c r="T107" s="77"/>
      <c r="U107" s="77">
        <f>450000-400000</f>
        <v>50000</v>
      </c>
      <c r="V107" s="77">
        <f>120000-100000</f>
        <v>20000</v>
      </c>
      <c r="W107" s="77">
        <v>7975</v>
      </c>
      <c r="X107" s="77">
        <f>800000-740000</f>
        <v>60000</v>
      </c>
      <c r="Y107" s="46">
        <f t="shared" si="13"/>
        <v>507975</v>
      </c>
      <c r="Z107" s="49">
        <f t="shared" si="19"/>
        <v>0</v>
      </c>
    </row>
    <row r="108" spans="1:26" ht="18.75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102844453.68</v>
      </c>
      <c r="I108" s="8">
        <f t="shared" si="20"/>
        <v>43.27361528941714</v>
      </c>
      <c r="J108" s="8">
        <f>(H108/(M108+N108+O108+P108+Q108+R108+S108))*100</f>
        <v>83.06714195646349</v>
      </c>
      <c r="L108" s="51">
        <f>(M108+N108+O108+P108+Q108+R108+S108)-H108</f>
        <v>20964372.83999999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13642681.91</v>
      </c>
      <c r="P108" s="51">
        <f t="shared" si="21"/>
        <v>35841428.25</v>
      </c>
      <c r="Q108" s="51">
        <f t="shared" si="21"/>
        <v>18432721.119999997</v>
      </c>
      <c r="R108" s="51">
        <f t="shared" si="21"/>
        <v>19595609.630000003</v>
      </c>
      <c r="S108" s="51">
        <f t="shared" si="21"/>
        <v>29113585.61</v>
      </c>
      <c r="T108" s="51">
        <f t="shared" si="21"/>
        <v>22460086.46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26122468.119999997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  <mergeCell ref="V8:V9"/>
    <mergeCell ref="W8:W9"/>
    <mergeCell ref="P8:P9"/>
    <mergeCell ref="Q8:Q9"/>
    <mergeCell ref="R8:R9"/>
    <mergeCell ref="S8:S9"/>
    <mergeCell ref="A80:G80"/>
    <mergeCell ref="F7:F8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2018-07-26T13:41:57Z</dcterms:modified>
  <cp:category/>
  <cp:version/>
  <cp:contentType/>
  <cp:contentStatus/>
</cp:coreProperties>
</file>